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movable Disk\Fall 2020\Masters Finance\"/>
    </mc:Choice>
  </mc:AlternateContent>
  <xr:revisionPtr revIDLastSave="0" documentId="13_ncr:1_{4890B334-0562-4972-AB63-31C4FBAFD4A7}" xr6:coauthVersionLast="45" xr6:coauthVersionMax="45" xr10:uidLastSave="{00000000-0000-0000-0000-000000000000}"/>
  <bookViews>
    <workbookView xWindow="-120" yWindow="-120" windowWidth="29040" windowHeight="15840" xr2:uid="{63C2E2AF-008E-47D0-984B-7BB040D7650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E89" i="1"/>
  <c r="F87" i="1"/>
  <c r="G87" i="1"/>
  <c r="H87" i="1"/>
  <c r="I87" i="1"/>
  <c r="J87" i="1"/>
  <c r="E87" i="1"/>
  <c r="J86" i="1"/>
  <c r="F81" i="1"/>
  <c r="F80" i="1"/>
  <c r="F79" i="1"/>
  <c r="F78" i="1"/>
  <c r="F77" i="1"/>
  <c r="F75" i="1"/>
  <c r="F74" i="1"/>
  <c r="F73" i="1"/>
  <c r="F72" i="1"/>
  <c r="F70" i="1"/>
  <c r="F85" i="1"/>
  <c r="E85" i="1"/>
  <c r="F66" i="1"/>
  <c r="F64" i="1"/>
  <c r="G63" i="1"/>
  <c r="H63" i="1"/>
  <c r="I63" i="1"/>
  <c r="J63" i="1"/>
  <c r="F63" i="1"/>
  <c r="F59" i="1"/>
  <c r="H57" i="1"/>
  <c r="H59" i="1" s="1"/>
  <c r="H64" i="1" s="1"/>
  <c r="H66" i="1" s="1"/>
  <c r="H85" i="1" s="1"/>
  <c r="J57" i="1"/>
  <c r="J59" i="1" s="1"/>
  <c r="J64" i="1" s="1"/>
  <c r="J66" i="1" s="1"/>
  <c r="J85" i="1" s="1"/>
  <c r="F57" i="1"/>
  <c r="H55" i="1"/>
  <c r="I55" i="1"/>
  <c r="J55" i="1"/>
  <c r="G55" i="1"/>
  <c r="F55" i="1"/>
  <c r="G54" i="1"/>
  <c r="H54" i="1"/>
  <c r="I54" i="1"/>
  <c r="J54" i="1"/>
  <c r="F54" i="1"/>
  <c r="G53" i="1"/>
  <c r="G57" i="1" s="1"/>
  <c r="G59" i="1" s="1"/>
  <c r="G64" i="1" s="1"/>
  <c r="G66" i="1" s="1"/>
  <c r="G85" i="1" s="1"/>
  <c r="H53" i="1"/>
  <c r="I53" i="1"/>
  <c r="I57" i="1" s="1"/>
  <c r="I59" i="1" s="1"/>
  <c r="I64" i="1" s="1"/>
  <c r="I66" i="1" s="1"/>
  <c r="I85" i="1" s="1"/>
  <c r="J53" i="1"/>
  <c r="F53" i="1"/>
  <c r="F49" i="1"/>
  <c r="F48" i="1"/>
  <c r="F47" i="1"/>
  <c r="F46" i="1"/>
  <c r="F45" i="1"/>
  <c r="J38" i="1"/>
  <c r="I38" i="1"/>
  <c r="F39" i="1"/>
  <c r="F38" i="1"/>
  <c r="G35" i="1"/>
  <c r="H35" i="1"/>
  <c r="I35" i="1"/>
  <c r="J35" i="1"/>
  <c r="F35" i="1"/>
  <c r="G33" i="1"/>
  <c r="H33" i="1"/>
  <c r="I33" i="1"/>
  <c r="J33" i="1"/>
  <c r="F33" i="1"/>
  <c r="G32" i="1"/>
  <c r="H32" i="1"/>
  <c r="I32" i="1"/>
  <c r="J32" i="1"/>
  <c r="K32" i="1"/>
  <c r="F32" i="1"/>
  <c r="G22" i="1"/>
  <c r="H22" i="1"/>
  <c r="I22" i="1"/>
  <c r="J22" i="1"/>
  <c r="K22" i="1"/>
  <c r="F22" i="1"/>
  <c r="G19" i="1"/>
  <c r="H19" i="1"/>
  <c r="I19" i="1"/>
  <c r="J19" i="1"/>
  <c r="K19" i="1"/>
  <c r="F19" i="1"/>
  <c r="G8" i="1"/>
  <c r="H8" i="1"/>
  <c r="I8" i="1"/>
  <c r="J8" i="1"/>
  <c r="K8" i="1"/>
  <c r="F8" i="1"/>
  <c r="G5" i="1"/>
  <c r="H5" i="1"/>
  <c r="I5" i="1"/>
  <c r="J5" i="1"/>
  <c r="K5" i="1"/>
  <c r="F5" i="1"/>
</calcChain>
</file>

<file path=xl/sharedStrings.xml><?xml version="1.0" encoding="utf-8"?>
<sst xmlns="http://schemas.openxmlformats.org/spreadsheetml/2006/main" count="104" uniqueCount="93">
  <si>
    <t>Year1</t>
  </si>
  <si>
    <t>Year 2</t>
  </si>
  <si>
    <t>Year 3</t>
  </si>
  <si>
    <t>Year 4</t>
  </si>
  <si>
    <t>Year 5</t>
  </si>
  <si>
    <t>Year 6</t>
  </si>
  <si>
    <t>Rental Income</t>
  </si>
  <si>
    <t>Expense Reimbursements</t>
  </si>
  <si>
    <t>GROSS SCHEDULED INCOME</t>
  </si>
  <si>
    <t>General Vacancy</t>
  </si>
  <si>
    <t>GROSS OPERATING INCOME</t>
  </si>
  <si>
    <t>Expenses</t>
  </si>
  <si>
    <t>Property Management Fee</t>
  </si>
  <si>
    <t>Property Tax</t>
  </si>
  <si>
    <t>Insurance</t>
  </si>
  <si>
    <t>Utilities</t>
  </si>
  <si>
    <t>Janitorial</t>
  </si>
  <si>
    <t>Maintenance</t>
  </si>
  <si>
    <t>TOTAL OPERATING EXPENSES</t>
  </si>
  <si>
    <t>NET OPERATING INCOME (NOI)</t>
  </si>
  <si>
    <t>Debt Schedule</t>
  </si>
  <si>
    <t>Payment</t>
  </si>
  <si>
    <t>Mortgage Balance</t>
  </si>
  <si>
    <t>Interest</t>
  </si>
  <si>
    <t>Principal</t>
  </si>
  <si>
    <t>Note, while you are currently using your amortization sheet for other purposes,</t>
  </si>
  <si>
    <t>a few relatively simple modifications to your spreadsheet would have it calculate</t>
  </si>
  <si>
    <t>these figures for you for any given annual period, based on the monthly payments</t>
  </si>
  <si>
    <t>Debt Service (Mortgage Payment)</t>
  </si>
  <si>
    <t>Before Tax Cash Flow</t>
  </si>
  <si>
    <t>Your mortgage of course has to be paid in cash.  We are assuming that your NOI is paid in cash,</t>
  </si>
  <si>
    <t>but that assumption is much safer for real estate than most other businesses.  Rent and reimbursements</t>
  </si>
  <si>
    <t>are almost always paid in cash.</t>
  </si>
  <si>
    <t>Even though we are doing a 5 year analysis, we need 6 years of information to calculate</t>
  </si>
  <si>
    <t>Estimated Terminal Value</t>
  </si>
  <si>
    <t>0 Growth</t>
  </si>
  <si>
    <t>Constant Growth</t>
  </si>
  <si>
    <t>Rental Income Growth Rate</t>
  </si>
  <si>
    <t>Cap Rate</t>
  </si>
  <si>
    <t>Year 6 NOI</t>
  </si>
  <si>
    <t>The book only assumes a cap rate, but a constant growth model might work as well.</t>
  </si>
  <si>
    <t>However, the cap rate we are basing this on was originally a zero growth model, so</t>
  </si>
  <si>
    <t>that may be more appropriate here.</t>
  </si>
  <si>
    <t>Taxes</t>
  </si>
  <si>
    <t>NOI</t>
  </si>
  <si>
    <t>Depreciation</t>
  </si>
  <si>
    <t>Taxable Income</t>
  </si>
  <si>
    <t>Tax</t>
  </si>
  <si>
    <t>Depreciation Schedule</t>
  </si>
  <si>
    <t xml:space="preserve">Price </t>
  </si>
  <si>
    <t>Debt %</t>
  </si>
  <si>
    <t>Equity</t>
  </si>
  <si>
    <t>Land cannot be depreciated.</t>
  </si>
  <si>
    <t>Estimated Value of Land</t>
  </si>
  <si>
    <t>Depreciable Amount</t>
  </si>
  <si>
    <t>First Year Depreciation</t>
  </si>
  <si>
    <t>Assumes asset was purchased in January.  IRS uses a mid month convention</t>
  </si>
  <si>
    <t>So you get depreciation for 11.5/12 of the year.</t>
  </si>
  <si>
    <t>Note, only the interest is tax deductible, another attraction to IO loans</t>
  </si>
  <si>
    <t>But your debt payment is a real cash payment, so you have to calculate taxes</t>
  </si>
  <si>
    <t>and cash flows separately</t>
  </si>
  <si>
    <t>Tax Rate</t>
  </si>
  <si>
    <t>Note, tax rate is 35%, not 36% as stated in book</t>
  </si>
  <si>
    <t>After Tax Cash Flows</t>
  </si>
  <si>
    <t>Taxes Paid</t>
  </si>
  <si>
    <t>After tax Cash Flow</t>
  </si>
  <si>
    <t>Note, the full loan payment and taxes were both subtracted to find cash flows</t>
  </si>
  <si>
    <t>Investment Return</t>
  </si>
  <si>
    <t>Cash Flows</t>
  </si>
  <si>
    <t>Because you are the equity investor, you are only interested in the equity invested</t>
  </si>
  <si>
    <t>and the return on that equity.  Remember, the debt investors have already been</t>
  </si>
  <si>
    <t>taken care of with the interest payments subtracted earlier.</t>
  </si>
  <si>
    <t>IRR</t>
  </si>
  <si>
    <t>Terminal Cash Flow</t>
  </si>
  <si>
    <t>Sales Price</t>
  </si>
  <si>
    <t>Original Basis</t>
  </si>
  <si>
    <t>Basis Reduction</t>
  </si>
  <si>
    <t>The basis reduction is the accumulated depreciation you have taken over the 5 years</t>
  </si>
  <si>
    <t>You only get the tax savings one time, and since you have taken the depreciation, the basis</t>
  </si>
  <si>
    <t>must be reduced so that you don't get the same deduction twice.</t>
  </si>
  <si>
    <t>Adjusted Basis</t>
  </si>
  <si>
    <t>I just typed in the mortgage balance, but again your spreadsheet would help here.</t>
  </si>
  <si>
    <t>Capital Gain</t>
  </si>
  <si>
    <t>Capital Gains on Appreciation</t>
  </si>
  <si>
    <t>Capital Gains on Accumulated Depreciation</t>
  </si>
  <si>
    <t>Total Cash Flows</t>
  </si>
  <si>
    <t>NPV</t>
  </si>
  <si>
    <t>Discount Rate</t>
  </si>
  <si>
    <t>Remember, the discount rate for NPV should be an after tax discount rate because</t>
  </si>
  <si>
    <t>the cash flows are after tax cash flows.  That means 10% is probably high.</t>
  </si>
  <si>
    <t>an estimate sales price in the 5th year.</t>
  </si>
  <si>
    <t>ARGUS does a really good job with leases to calculate the rental income</t>
  </si>
  <si>
    <t>NOI/ Price = Cap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</si>
</sst>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6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44" fontId="0" fillId="0" borderId="0" xfId="0" applyNumberFormat="1"/>
    <xf numFmtId="9" fontId="0" fillId="0" borderId="0" xfId="0" applyNumberFormat="1"/>
    <xf numFmtId="10" fontId="0" fillId="0" borderId="0" xfId="0" applyNumberFormat="1"/>
    <xf numFmtId="166" fontId="0" fillId="0" borderId="0" xfId="0" applyNumberFormat="1"/>
    <xf numFmtId="9" fontId="0" fillId="0" borderId="0" xfId="2" applyFont="1"/>
    <xf numFmtId="166" fontId="0" fillId="0" borderId="0" xfId="2" applyNumberFormat="1" applyFont="1"/>
    <xf numFmtId="0" fontId="2" fillId="0" borderId="0" xfId="0" applyFont="1"/>
    <xf numFmtId="8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9749-BDB7-4BCC-A6D7-9EBB3F734415}">
  <dimension ref="D1:M91"/>
  <sheetViews>
    <sheetView tabSelected="1" topLeftCell="C52" workbookViewId="0">
      <selection activeCell="F55" sqref="F55"/>
    </sheetView>
  </sheetViews>
  <sheetFormatPr defaultRowHeight="15" x14ac:dyDescent="0.25"/>
  <cols>
    <col min="4" max="4" width="18.7109375" customWidth="1"/>
    <col min="5" max="5" width="30.85546875" customWidth="1"/>
    <col min="6" max="6" width="14.28515625" bestFit="1" customWidth="1"/>
    <col min="7" max="7" width="15.7109375" customWidth="1"/>
    <col min="8" max="8" width="15" customWidth="1"/>
    <col min="9" max="9" width="14.28515625" bestFit="1" customWidth="1"/>
    <col min="10" max="10" width="16.42578125" customWidth="1"/>
    <col min="11" max="11" width="14.28515625" bestFit="1" customWidth="1"/>
  </cols>
  <sheetData>
    <row r="1" spans="5:13" x14ac:dyDescent="0.25"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M1" t="s">
        <v>33</v>
      </c>
    </row>
    <row r="2" spans="5:13" x14ac:dyDescent="0.25">
      <c r="E2" t="s">
        <v>6</v>
      </c>
      <c r="F2" s="1">
        <v>1365000</v>
      </c>
      <c r="G2" s="1">
        <v>1365000</v>
      </c>
      <c r="H2" s="1">
        <v>1365000</v>
      </c>
      <c r="I2" s="1">
        <v>1557500</v>
      </c>
      <c r="J2" s="1">
        <v>1587500</v>
      </c>
      <c r="K2" s="1">
        <v>1635500</v>
      </c>
      <c r="M2" t="s">
        <v>90</v>
      </c>
    </row>
    <row r="3" spans="5:13" x14ac:dyDescent="0.25">
      <c r="E3" t="s">
        <v>7</v>
      </c>
      <c r="F3" s="1">
        <v>33500</v>
      </c>
      <c r="G3" s="1">
        <v>47372</v>
      </c>
      <c r="H3" s="1">
        <v>61756</v>
      </c>
      <c r="I3" s="1">
        <v>13693</v>
      </c>
      <c r="J3" s="1">
        <v>21056</v>
      </c>
      <c r="K3" s="1">
        <v>24657</v>
      </c>
    </row>
    <row r="4" spans="5:13" x14ac:dyDescent="0.25">
      <c r="F4" s="1"/>
      <c r="G4" s="1"/>
      <c r="H4" s="1"/>
      <c r="I4" s="1"/>
      <c r="J4" s="1"/>
      <c r="K4" s="1"/>
      <c r="M4" t="s">
        <v>91</v>
      </c>
    </row>
    <row r="5" spans="5:13" x14ac:dyDescent="0.25">
      <c r="E5" t="s">
        <v>8</v>
      </c>
      <c r="F5" s="1">
        <f>F2+F3</f>
        <v>1398500</v>
      </c>
      <c r="G5" s="1">
        <f t="shared" ref="G5:K5" si="0">G2+G3</f>
        <v>1412372</v>
      </c>
      <c r="H5" s="1">
        <f t="shared" si="0"/>
        <v>1426756</v>
      </c>
      <c r="I5" s="1">
        <f t="shared" si="0"/>
        <v>1571193</v>
      </c>
      <c r="J5" s="1">
        <f t="shared" si="0"/>
        <v>1608556</v>
      </c>
      <c r="K5" s="1">
        <f t="shared" si="0"/>
        <v>1660157</v>
      </c>
    </row>
    <row r="6" spans="5:13" x14ac:dyDescent="0.25">
      <c r="E6" t="s">
        <v>9</v>
      </c>
      <c r="F6" s="1">
        <v>0</v>
      </c>
      <c r="G6" s="1">
        <v>0</v>
      </c>
      <c r="H6" s="1">
        <v>0</v>
      </c>
      <c r="I6" s="1">
        <v>-78560</v>
      </c>
      <c r="J6" s="1">
        <v>-80428</v>
      </c>
      <c r="K6" s="1">
        <v>-83008</v>
      </c>
    </row>
    <row r="7" spans="5:13" x14ac:dyDescent="0.25">
      <c r="F7" s="1"/>
      <c r="G7" s="1"/>
      <c r="H7" s="1"/>
      <c r="I7" s="1"/>
      <c r="J7" s="1"/>
      <c r="K7" s="1"/>
    </row>
    <row r="8" spans="5:13" x14ac:dyDescent="0.25">
      <c r="E8" t="s">
        <v>10</v>
      </c>
      <c r="F8" s="1">
        <f>F5+F6</f>
        <v>1398500</v>
      </c>
      <c r="G8" s="1">
        <f t="shared" ref="G8:K8" si="1">G5+G6</f>
        <v>1412372</v>
      </c>
      <c r="H8" s="1">
        <f t="shared" si="1"/>
        <v>1426756</v>
      </c>
      <c r="I8" s="1">
        <f t="shared" si="1"/>
        <v>1492633</v>
      </c>
      <c r="J8" s="1">
        <f t="shared" si="1"/>
        <v>1528128</v>
      </c>
      <c r="K8" s="1">
        <f t="shared" si="1"/>
        <v>1577149</v>
      </c>
    </row>
    <row r="9" spans="5:13" x14ac:dyDescent="0.25">
      <c r="F9" s="1"/>
      <c r="G9" s="1"/>
      <c r="H9" s="1"/>
      <c r="I9" s="1"/>
      <c r="J9" s="1"/>
      <c r="K9" s="1"/>
    </row>
    <row r="10" spans="5:13" x14ac:dyDescent="0.25">
      <c r="F10" s="1"/>
      <c r="G10" s="1"/>
      <c r="H10" s="1"/>
      <c r="I10" s="1"/>
      <c r="J10" s="1"/>
      <c r="K10" s="1"/>
    </row>
    <row r="11" spans="5:13" x14ac:dyDescent="0.25">
      <c r="E11" t="s">
        <v>11</v>
      </c>
    </row>
    <row r="12" spans="5:13" x14ac:dyDescent="0.25">
      <c r="E12" t="s">
        <v>12</v>
      </c>
      <c r="F12" s="1">
        <v>-69925</v>
      </c>
      <c r="G12" s="1">
        <v>-70619</v>
      </c>
      <c r="H12" s="1">
        <v>-71338</v>
      </c>
      <c r="I12" s="1">
        <v>-78560</v>
      </c>
      <c r="J12" s="1">
        <v>-80428</v>
      </c>
      <c r="K12" s="1">
        <v>-83008</v>
      </c>
    </row>
    <row r="13" spans="5:13" x14ac:dyDescent="0.25">
      <c r="E13" t="s">
        <v>13</v>
      </c>
      <c r="F13" s="1">
        <v>-148800</v>
      </c>
      <c r="G13" s="1">
        <v>-151776</v>
      </c>
      <c r="H13" s="1">
        <v>-154812</v>
      </c>
      <c r="I13" s="1">
        <v>-157908</v>
      </c>
      <c r="J13" s="1">
        <v>-161066</v>
      </c>
      <c r="K13" s="1">
        <v>-164287</v>
      </c>
    </row>
    <row r="14" spans="5:13" x14ac:dyDescent="0.25">
      <c r="E14" t="s">
        <v>14</v>
      </c>
      <c r="F14" s="1">
        <v>-14400</v>
      </c>
      <c r="G14" s="1">
        <v>-14976</v>
      </c>
      <c r="H14" s="1">
        <v>-15575</v>
      </c>
      <c r="I14" s="1">
        <v>-16198</v>
      </c>
      <c r="J14" s="1">
        <v>-16846</v>
      </c>
      <c r="K14" s="1">
        <v>-17520</v>
      </c>
    </row>
    <row r="15" spans="5:13" x14ac:dyDescent="0.25">
      <c r="E15" t="s">
        <v>15</v>
      </c>
      <c r="F15" s="1">
        <v>-120000</v>
      </c>
      <c r="G15" s="1">
        <v>-126000</v>
      </c>
      <c r="H15" s="1">
        <v>-132300</v>
      </c>
      <c r="I15" s="1">
        <v>-138915</v>
      </c>
      <c r="J15" s="1">
        <v>-145861</v>
      </c>
      <c r="K15" s="1">
        <v>-153154</v>
      </c>
    </row>
    <row r="16" spans="5:13" x14ac:dyDescent="0.25">
      <c r="E16" t="s">
        <v>16</v>
      </c>
      <c r="F16" s="1">
        <v>-76800</v>
      </c>
      <c r="G16" s="1">
        <v>-79104</v>
      </c>
      <c r="H16" s="1">
        <v>-81477</v>
      </c>
      <c r="I16" s="1">
        <v>-83921</v>
      </c>
      <c r="J16" s="1">
        <v>-86439</v>
      </c>
      <c r="K16" s="1">
        <v>-89032</v>
      </c>
    </row>
    <row r="17" spans="5:13" x14ac:dyDescent="0.25">
      <c r="E17" t="s">
        <v>17</v>
      </c>
      <c r="F17" s="1">
        <v>-67200</v>
      </c>
      <c r="G17" s="1">
        <v>-69216</v>
      </c>
      <c r="H17" s="1">
        <v>-71292</v>
      </c>
      <c r="I17" s="1">
        <v>-73431</v>
      </c>
      <c r="J17" s="1">
        <v>-75634</v>
      </c>
      <c r="K17" s="1">
        <v>-77903</v>
      </c>
    </row>
    <row r="18" spans="5:13" x14ac:dyDescent="0.25">
      <c r="F18" s="1"/>
      <c r="G18" s="1"/>
      <c r="H18" s="1"/>
      <c r="I18" s="1"/>
      <c r="J18" s="1"/>
      <c r="K18" s="1"/>
    </row>
    <row r="19" spans="5:13" x14ac:dyDescent="0.25">
      <c r="E19" t="s">
        <v>18</v>
      </c>
      <c r="F19" s="1">
        <f>SUM(F12:F18)</f>
        <v>-497125</v>
      </c>
      <c r="G19" s="1">
        <f t="shared" ref="G19:K19" si="2">SUM(G12:G18)</f>
        <v>-511691</v>
      </c>
      <c r="H19" s="1">
        <f t="shared" si="2"/>
        <v>-526794</v>
      </c>
      <c r="I19" s="1">
        <f t="shared" si="2"/>
        <v>-548933</v>
      </c>
      <c r="J19" s="1">
        <f t="shared" si="2"/>
        <v>-566274</v>
      </c>
      <c r="K19" s="1">
        <f t="shared" si="2"/>
        <v>-584904</v>
      </c>
    </row>
    <row r="20" spans="5:13" x14ac:dyDescent="0.25">
      <c r="F20" s="1"/>
      <c r="G20" s="1"/>
      <c r="H20" s="1"/>
      <c r="I20" s="1"/>
      <c r="J20" s="1"/>
      <c r="K20" s="1"/>
    </row>
    <row r="21" spans="5:13" x14ac:dyDescent="0.25">
      <c r="F21" s="1"/>
      <c r="G21" s="1"/>
      <c r="H21" s="1"/>
      <c r="I21" s="1"/>
      <c r="J21" s="1"/>
      <c r="K21" s="1"/>
    </row>
    <row r="22" spans="5:13" x14ac:dyDescent="0.25">
      <c r="E22" t="s">
        <v>19</v>
      </c>
      <c r="F22" s="1">
        <f>F8+F19</f>
        <v>901375</v>
      </c>
      <c r="G22" s="1">
        <f t="shared" ref="G22:K22" si="3">G8+G19</f>
        <v>900681</v>
      </c>
      <c r="H22" s="1">
        <f t="shared" si="3"/>
        <v>899962</v>
      </c>
      <c r="I22" s="1">
        <f t="shared" si="3"/>
        <v>943700</v>
      </c>
      <c r="J22" s="1">
        <f t="shared" si="3"/>
        <v>961854</v>
      </c>
      <c r="K22" s="1">
        <f t="shared" si="3"/>
        <v>992245</v>
      </c>
      <c r="M22" t="s">
        <v>92</v>
      </c>
    </row>
    <row r="25" spans="5:13" x14ac:dyDescent="0.25">
      <c r="E25" s="8" t="s">
        <v>20</v>
      </c>
      <c r="L25" s="1"/>
    </row>
    <row r="26" spans="5:13" x14ac:dyDescent="0.25">
      <c r="E26" t="s">
        <v>21</v>
      </c>
      <c r="F26" s="1">
        <v>689025</v>
      </c>
      <c r="G26" s="1">
        <v>689025</v>
      </c>
      <c r="H26" s="1">
        <v>689025</v>
      </c>
      <c r="I26" s="1">
        <v>689025</v>
      </c>
      <c r="J26" s="1">
        <v>689025</v>
      </c>
      <c r="K26" s="1">
        <v>689025</v>
      </c>
      <c r="L26" s="1"/>
      <c r="M26" t="s">
        <v>25</v>
      </c>
    </row>
    <row r="27" spans="5:13" x14ac:dyDescent="0.25">
      <c r="E27" t="s">
        <v>22</v>
      </c>
      <c r="F27" s="1">
        <v>5851543</v>
      </c>
      <c r="G27" s="1">
        <v>5742776</v>
      </c>
      <c r="H27" s="1">
        <v>5622620</v>
      </c>
      <c r="I27" s="1">
        <v>5489883</v>
      </c>
      <c r="J27" s="1">
        <v>5343245</v>
      </c>
      <c r="K27" s="1"/>
      <c r="L27" s="1"/>
      <c r="M27" t="s">
        <v>26</v>
      </c>
    </row>
    <row r="28" spans="5:13" x14ac:dyDescent="0.25">
      <c r="E28" t="s">
        <v>23</v>
      </c>
      <c r="F28" s="1">
        <v>590569</v>
      </c>
      <c r="G28" s="1">
        <v>580259</v>
      </c>
      <c r="H28" s="1">
        <v>568869</v>
      </c>
      <c r="I28" s="1">
        <v>556288</v>
      </c>
      <c r="J28" s="1">
        <v>542388</v>
      </c>
      <c r="K28" s="1"/>
      <c r="L28" s="1"/>
      <c r="M28" t="s">
        <v>27</v>
      </c>
    </row>
    <row r="29" spans="5:13" x14ac:dyDescent="0.25">
      <c r="E29" t="s">
        <v>24</v>
      </c>
      <c r="F29" s="1">
        <v>98457</v>
      </c>
      <c r="G29" s="1">
        <v>108767</v>
      </c>
      <c r="H29" s="1">
        <v>120156</v>
      </c>
      <c r="I29" s="1">
        <v>132738</v>
      </c>
      <c r="J29" s="1">
        <v>146637</v>
      </c>
      <c r="K29" s="1"/>
      <c r="L29" s="1"/>
    </row>
    <row r="32" spans="5:13" x14ac:dyDescent="0.25">
      <c r="E32" t="s">
        <v>19</v>
      </c>
      <c r="F32" s="2">
        <f>F22</f>
        <v>901375</v>
      </c>
      <c r="G32" s="2">
        <f t="shared" ref="G32:K32" si="4">G22</f>
        <v>900681</v>
      </c>
      <c r="H32" s="2">
        <f t="shared" si="4"/>
        <v>899962</v>
      </c>
      <c r="I32" s="2">
        <f t="shared" si="4"/>
        <v>943700</v>
      </c>
      <c r="J32" s="2">
        <f t="shared" si="4"/>
        <v>961854</v>
      </c>
      <c r="K32" s="2">
        <f t="shared" si="4"/>
        <v>992245</v>
      </c>
      <c r="M32" t="s">
        <v>30</v>
      </c>
    </row>
    <row r="33" spans="5:13" x14ac:dyDescent="0.25">
      <c r="E33" t="s">
        <v>28</v>
      </c>
      <c r="F33" s="2">
        <f>-F26</f>
        <v>-689025</v>
      </c>
      <c r="G33" s="2">
        <f t="shared" ref="G33:J33" si="5">-G26</f>
        <v>-689025</v>
      </c>
      <c r="H33" s="2">
        <f t="shared" si="5"/>
        <v>-689025</v>
      </c>
      <c r="I33" s="2">
        <f t="shared" si="5"/>
        <v>-689025</v>
      </c>
      <c r="J33" s="2">
        <f t="shared" si="5"/>
        <v>-689025</v>
      </c>
      <c r="M33" t="s">
        <v>31</v>
      </c>
    </row>
    <row r="34" spans="5:13" x14ac:dyDescent="0.25">
      <c r="M34" t="s">
        <v>32</v>
      </c>
    </row>
    <row r="35" spans="5:13" x14ac:dyDescent="0.25">
      <c r="E35" t="s">
        <v>29</v>
      </c>
      <c r="F35" s="2">
        <f>F32+F33</f>
        <v>212350</v>
      </c>
      <c r="G35" s="2">
        <f t="shared" ref="G35:J35" si="6">G32+G33</f>
        <v>211656</v>
      </c>
      <c r="H35" s="2">
        <f t="shared" si="6"/>
        <v>210937</v>
      </c>
      <c r="I35" s="2">
        <f t="shared" si="6"/>
        <v>254675</v>
      </c>
      <c r="J35" s="2">
        <f t="shared" si="6"/>
        <v>272829</v>
      </c>
    </row>
    <row r="37" spans="5:13" x14ac:dyDescent="0.25">
      <c r="E37" s="8" t="s">
        <v>34</v>
      </c>
      <c r="I37" t="s">
        <v>35</v>
      </c>
      <c r="J37" t="s">
        <v>36</v>
      </c>
      <c r="M37" t="s">
        <v>40</v>
      </c>
    </row>
    <row r="38" spans="5:13" x14ac:dyDescent="0.25">
      <c r="E38" t="s">
        <v>39</v>
      </c>
      <c r="F38" s="2">
        <f>K22</f>
        <v>992245</v>
      </c>
      <c r="I38" s="2">
        <f>F38/F40</f>
        <v>9360801.886792453</v>
      </c>
      <c r="J38" s="2">
        <f>F38/(F40-F39)</f>
        <v>12150200.310980316</v>
      </c>
      <c r="M38" t="s">
        <v>41</v>
      </c>
    </row>
    <row r="39" spans="5:13" x14ac:dyDescent="0.25">
      <c r="E39" t="s">
        <v>37</v>
      </c>
      <c r="F39" s="5">
        <f>RATE(5,,-F8,K8)</f>
        <v>2.4335091224521339E-2</v>
      </c>
      <c r="M39" t="s">
        <v>42</v>
      </c>
    </row>
    <row r="40" spans="5:13" x14ac:dyDescent="0.25">
      <c r="E40" t="s">
        <v>38</v>
      </c>
      <c r="F40" s="7">
        <v>0.106</v>
      </c>
    </row>
    <row r="42" spans="5:13" x14ac:dyDescent="0.25">
      <c r="E42" s="8" t="s">
        <v>48</v>
      </c>
    </row>
    <row r="43" spans="5:13" x14ac:dyDescent="0.25">
      <c r="E43" t="s">
        <v>49</v>
      </c>
      <c r="F43" s="1">
        <v>8500000</v>
      </c>
    </row>
    <row r="44" spans="5:13" x14ac:dyDescent="0.25">
      <c r="E44" t="s">
        <v>50</v>
      </c>
      <c r="F44" s="6">
        <v>0.7</v>
      </c>
    </row>
    <row r="45" spans="5:13" x14ac:dyDescent="0.25">
      <c r="E45" t="s">
        <v>51</v>
      </c>
      <c r="F45" s="1">
        <f>F43*(1-F44)</f>
        <v>2550000.0000000005</v>
      </c>
      <c r="M45" t="s">
        <v>52</v>
      </c>
    </row>
    <row r="46" spans="5:13" x14ac:dyDescent="0.25">
      <c r="E46" t="s">
        <v>53</v>
      </c>
      <c r="F46" s="1">
        <f>F43*0.15</f>
        <v>1275000</v>
      </c>
    </row>
    <row r="47" spans="5:13" x14ac:dyDescent="0.25">
      <c r="E47" t="s">
        <v>54</v>
      </c>
      <c r="F47" s="1">
        <f>F43-F46</f>
        <v>7225000</v>
      </c>
    </row>
    <row r="48" spans="5:13" x14ac:dyDescent="0.25">
      <c r="E48" t="s">
        <v>45</v>
      </c>
      <c r="F48" s="1">
        <f>F47/39</f>
        <v>185256.41025641025</v>
      </c>
    </row>
    <row r="49" spans="5:13" x14ac:dyDescent="0.25">
      <c r="E49" t="s">
        <v>55</v>
      </c>
      <c r="F49" s="1">
        <f>F48*(11.5/12)</f>
        <v>177537.39316239316</v>
      </c>
      <c r="M49" t="s">
        <v>56</v>
      </c>
    </row>
    <row r="50" spans="5:13" x14ac:dyDescent="0.25">
      <c r="M50" t="s">
        <v>57</v>
      </c>
    </row>
    <row r="51" spans="5:13" x14ac:dyDescent="0.25">
      <c r="E51" s="8" t="s">
        <v>43</v>
      </c>
      <c r="F51" t="s">
        <v>61</v>
      </c>
      <c r="G51" s="6">
        <v>0.35</v>
      </c>
    </row>
    <row r="53" spans="5:13" x14ac:dyDescent="0.25">
      <c r="E53" t="s">
        <v>44</v>
      </c>
      <c r="F53" s="2">
        <f>F22</f>
        <v>901375</v>
      </c>
      <c r="G53" s="2">
        <f t="shared" ref="G53:J53" si="7">G22</f>
        <v>900681</v>
      </c>
      <c r="H53" s="2">
        <f t="shared" si="7"/>
        <v>899962</v>
      </c>
      <c r="I53" s="2">
        <f t="shared" si="7"/>
        <v>943700</v>
      </c>
      <c r="J53" s="2">
        <f t="shared" si="7"/>
        <v>961854</v>
      </c>
      <c r="K53" s="2"/>
    </row>
    <row r="54" spans="5:13" x14ac:dyDescent="0.25">
      <c r="E54" t="s">
        <v>23</v>
      </c>
      <c r="F54" s="2">
        <f>F28</f>
        <v>590569</v>
      </c>
      <c r="G54" s="2">
        <f t="shared" ref="G54:J54" si="8">G28</f>
        <v>580259</v>
      </c>
      <c r="H54" s="2">
        <f t="shared" si="8"/>
        <v>568869</v>
      </c>
      <c r="I54" s="2">
        <f t="shared" si="8"/>
        <v>556288</v>
      </c>
      <c r="J54" s="2">
        <f t="shared" si="8"/>
        <v>542388</v>
      </c>
      <c r="M54" t="s">
        <v>58</v>
      </c>
    </row>
    <row r="55" spans="5:13" x14ac:dyDescent="0.25">
      <c r="E55" t="s">
        <v>45</v>
      </c>
      <c r="F55" s="2">
        <f>F49</f>
        <v>177537.39316239316</v>
      </c>
      <c r="G55" s="2">
        <f>$F$48</f>
        <v>185256.41025641025</v>
      </c>
      <c r="H55" s="2">
        <f t="shared" ref="H55:J55" si="9">$F$48</f>
        <v>185256.41025641025</v>
      </c>
      <c r="I55" s="2">
        <f t="shared" si="9"/>
        <v>185256.41025641025</v>
      </c>
      <c r="J55" s="2">
        <f t="shared" si="9"/>
        <v>185256.41025641025</v>
      </c>
      <c r="M55" t="s">
        <v>59</v>
      </c>
    </row>
    <row r="56" spans="5:13" x14ac:dyDescent="0.25">
      <c r="M56" t="s">
        <v>60</v>
      </c>
    </row>
    <row r="57" spans="5:13" x14ac:dyDescent="0.25">
      <c r="E57" t="s">
        <v>46</v>
      </c>
      <c r="F57" s="2">
        <f>F53-F54-F55</f>
        <v>133268.60683760684</v>
      </c>
      <c r="G57" s="2">
        <f t="shared" ref="G57:J57" si="10">G53-G54-G55</f>
        <v>135165.58974358975</v>
      </c>
      <c r="H57" s="2">
        <f t="shared" si="10"/>
        <v>145836.58974358975</v>
      </c>
      <c r="I57" s="2">
        <f t="shared" si="10"/>
        <v>202155.58974358975</v>
      </c>
      <c r="J57" s="2">
        <f t="shared" si="10"/>
        <v>234209.58974358975</v>
      </c>
      <c r="M57" t="s">
        <v>62</v>
      </c>
    </row>
    <row r="59" spans="5:13" x14ac:dyDescent="0.25">
      <c r="E59" t="s">
        <v>47</v>
      </c>
      <c r="F59" s="2">
        <f>F57*$G$51</f>
        <v>46644.012393162389</v>
      </c>
      <c r="G59" s="2">
        <f t="shared" ref="G59:J59" si="11">G57*$G$51</f>
        <v>47307.956410256411</v>
      </c>
      <c r="H59" s="2">
        <f t="shared" si="11"/>
        <v>51042.806410256409</v>
      </c>
      <c r="I59" s="2">
        <f t="shared" si="11"/>
        <v>70754.456410256404</v>
      </c>
      <c r="J59" s="2">
        <f t="shared" si="11"/>
        <v>81973.356410256412</v>
      </c>
    </row>
    <row r="61" spans="5:13" x14ac:dyDescent="0.25">
      <c r="E61" s="8" t="s">
        <v>63</v>
      </c>
    </row>
    <row r="63" spans="5:13" x14ac:dyDescent="0.25">
      <c r="E63" t="s">
        <v>29</v>
      </c>
      <c r="F63" s="2">
        <f>F35</f>
        <v>212350</v>
      </c>
      <c r="G63" s="2">
        <f t="shared" ref="G63:J63" si="12">G35</f>
        <v>211656</v>
      </c>
      <c r="H63" s="2">
        <f t="shared" si="12"/>
        <v>210937</v>
      </c>
      <c r="I63" s="2">
        <f t="shared" si="12"/>
        <v>254675</v>
      </c>
      <c r="J63" s="2">
        <f t="shared" si="12"/>
        <v>272829</v>
      </c>
      <c r="M63" t="s">
        <v>66</v>
      </c>
    </row>
    <row r="64" spans="5:13" x14ac:dyDescent="0.25">
      <c r="E64" t="s">
        <v>64</v>
      </c>
      <c r="F64" s="2">
        <f>F59</f>
        <v>46644.012393162389</v>
      </c>
      <c r="G64" s="2">
        <f t="shared" ref="G64:J64" si="13">G59</f>
        <v>47307.956410256411</v>
      </c>
      <c r="H64" s="2">
        <f t="shared" si="13"/>
        <v>51042.806410256409</v>
      </c>
      <c r="I64" s="2">
        <f t="shared" si="13"/>
        <v>70754.456410256404</v>
      </c>
      <c r="J64" s="2">
        <f t="shared" si="13"/>
        <v>81973.356410256412</v>
      </c>
    </row>
    <row r="66" spans="5:13" x14ac:dyDescent="0.25">
      <c r="E66" t="s">
        <v>65</v>
      </c>
      <c r="F66" s="2">
        <f>F63-F64</f>
        <v>165705.98760683762</v>
      </c>
      <c r="G66" s="2">
        <f t="shared" ref="G66:J66" si="14">G63-G64</f>
        <v>164348.04358974358</v>
      </c>
      <c r="H66" s="2">
        <f t="shared" si="14"/>
        <v>159894.19358974358</v>
      </c>
      <c r="I66" s="2">
        <f t="shared" si="14"/>
        <v>183920.54358974361</v>
      </c>
      <c r="J66" s="2">
        <f t="shared" si="14"/>
        <v>190855.64358974359</v>
      </c>
    </row>
    <row r="69" spans="5:13" x14ac:dyDescent="0.25">
      <c r="E69" s="8" t="s">
        <v>73</v>
      </c>
    </row>
    <row r="70" spans="5:13" x14ac:dyDescent="0.25">
      <c r="E70" t="s">
        <v>74</v>
      </c>
      <c r="F70" s="2">
        <f>I38</f>
        <v>9360801.886792453</v>
      </c>
    </row>
    <row r="71" spans="5:13" x14ac:dyDescent="0.25">
      <c r="E71" t="s">
        <v>22</v>
      </c>
      <c r="F71" s="1">
        <v>5343245</v>
      </c>
      <c r="M71" t="s">
        <v>81</v>
      </c>
    </row>
    <row r="72" spans="5:13" x14ac:dyDescent="0.25">
      <c r="E72" t="s">
        <v>29</v>
      </c>
      <c r="F72" s="2">
        <f>F70-F71</f>
        <v>4017556.886792453</v>
      </c>
    </row>
    <row r="73" spans="5:13" x14ac:dyDescent="0.25">
      <c r="E73" t="s">
        <v>75</v>
      </c>
      <c r="F73" s="2">
        <f>F43</f>
        <v>8500000</v>
      </c>
    </row>
    <row r="74" spans="5:13" x14ac:dyDescent="0.25">
      <c r="E74" t="s">
        <v>76</v>
      </c>
      <c r="F74" s="2">
        <f>SUM(F55:J55)</f>
        <v>918563.03418803413</v>
      </c>
      <c r="M74" t="s">
        <v>77</v>
      </c>
    </row>
    <row r="75" spans="5:13" x14ac:dyDescent="0.25">
      <c r="E75" t="s">
        <v>80</v>
      </c>
      <c r="F75" s="2">
        <f>F73-F74</f>
        <v>7581436.965811966</v>
      </c>
      <c r="M75" t="s">
        <v>78</v>
      </c>
    </row>
    <row r="76" spans="5:13" x14ac:dyDescent="0.25">
      <c r="M76" t="s">
        <v>79</v>
      </c>
    </row>
    <row r="77" spans="5:13" x14ac:dyDescent="0.25">
      <c r="E77" t="s">
        <v>74</v>
      </c>
      <c r="F77" s="2">
        <f>F70</f>
        <v>9360801.886792453</v>
      </c>
      <c r="H77" t="s">
        <v>84</v>
      </c>
      <c r="K77" s="6">
        <v>0.25</v>
      </c>
    </row>
    <row r="78" spans="5:13" x14ac:dyDescent="0.25">
      <c r="E78" t="s">
        <v>80</v>
      </c>
      <c r="F78" s="2">
        <f>F75</f>
        <v>7581436.965811966</v>
      </c>
      <c r="H78" t="s">
        <v>83</v>
      </c>
      <c r="K78" s="6">
        <v>0.15</v>
      </c>
    </row>
    <row r="79" spans="5:13" x14ac:dyDescent="0.25">
      <c r="E79" s="3" t="s">
        <v>82</v>
      </c>
      <c r="F79" s="2">
        <f>F77-F78</f>
        <v>1779364.920980487</v>
      </c>
    </row>
    <row r="80" spans="5:13" x14ac:dyDescent="0.25">
      <c r="E80" s="3" t="s">
        <v>43</v>
      </c>
      <c r="F80" s="2">
        <f>K77*F74+(F79-F74)*K78</f>
        <v>358761.04156587645</v>
      </c>
    </row>
    <row r="81" spans="4:13" x14ac:dyDescent="0.25">
      <c r="E81" s="3" t="s">
        <v>73</v>
      </c>
      <c r="F81" s="2">
        <f>F72-F80</f>
        <v>3658795.8452265766</v>
      </c>
    </row>
    <row r="84" spans="4:13" x14ac:dyDescent="0.25">
      <c r="D84" s="8" t="s">
        <v>67</v>
      </c>
    </row>
    <row r="85" spans="4:13" x14ac:dyDescent="0.25">
      <c r="D85" t="s">
        <v>68</v>
      </c>
      <c r="E85" s="2">
        <f>-F45</f>
        <v>-2550000.0000000005</v>
      </c>
      <c r="F85" s="2">
        <f>F66</f>
        <v>165705.98760683762</v>
      </c>
      <c r="G85" s="2">
        <f>G66</f>
        <v>164348.04358974358</v>
      </c>
      <c r="H85" s="2">
        <f>H66</f>
        <v>159894.19358974358</v>
      </c>
      <c r="I85" s="2">
        <f>I66</f>
        <v>183920.54358974361</v>
      </c>
      <c r="J85" s="2">
        <f>J66</f>
        <v>190855.64358974359</v>
      </c>
      <c r="M85" t="s">
        <v>69</v>
      </c>
    </row>
    <row r="86" spans="4:13" x14ac:dyDescent="0.25">
      <c r="D86" t="s">
        <v>73</v>
      </c>
      <c r="J86" s="2">
        <f>F81</f>
        <v>3658795.8452265766</v>
      </c>
      <c r="M86" t="s">
        <v>70</v>
      </c>
    </row>
    <row r="87" spans="4:13" x14ac:dyDescent="0.25">
      <c r="D87" t="s">
        <v>85</v>
      </c>
      <c r="E87" s="2">
        <f>E85+E86</f>
        <v>-2550000.0000000005</v>
      </c>
      <c r="F87" s="2">
        <f t="shared" ref="F87:J87" si="15">F85+F86</f>
        <v>165705.98760683762</v>
      </c>
      <c r="G87" s="2">
        <f t="shared" si="15"/>
        <v>164348.04358974358</v>
      </c>
      <c r="H87" s="2">
        <f t="shared" si="15"/>
        <v>159894.19358974358</v>
      </c>
      <c r="I87" s="2">
        <f t="shared" si="15"/>
        <v>183920.54358974361</v>
      </c>
      <c r="J87" s="2">
        <f t="shared" si="15"/>
        <v>3849651.48881632</v>
      </c>
      <c r="M87" t="s">
        <v>71</v>
      </c>
    </row>
    <row r="89" spans="4:13" x14ac:dyDescent="0.25">
      <c r="D89" t="s">
        <v>72</v>
      </c>
      <c r="E89" s="4">
        <f>IRR(E87:J87)</f>
        <v>0.13376592987251601</v>
      </c>
    </row>
    <row r="90" spans="4:13" x14ac:dyDescent="0.25">
      <c r="D90" t="s">
        <v>87</v>
      </c>
      <c r="E90" s="6">
        <v>7.0000000000000007E-2</v>
      </c>
      <c r="M90" t="s">
        <v>88</v>
      </c>
    </row>
    <row r="91" spans="4:13" x14ac:dyDescent="0.25">
      <c r="D91" t="s">
        <v>86</v>
      </c>
      <c r="E91" s="9">
        <f>NPV(E90,F87:J87)+E87</f>
        <v>763995.05537660792</v>
      </c>
      <c r="M91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2020-09-28T20:51:23Z</dcterms:created>
  <dcterms:modified xsi:type="dcterms:W3CDTF">2020-09-30T15:17:19Z</dcterms:modified>
</cp:coreProperties>
</file>